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DieseArbeitsmappe"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tabellen\"/>
    </mc:Choice>
  </mc:AlternateContent>
  <xr:revisionPtr revIDLastSave="0" documentId="13_ncr:1_{8A360D4B-3C46-44C0-9159-037C5A7F28B8}" xr6:coauthVersionLast="37" xr6:coauthVersionMax="37" xr10:uidLastSave="{00000000-0000-0000-0000-000000000000}"/>
  <bookViews>
    <workbookView xWindow="14352" yWindow="180" windowWidth="28332" windowHeight="14448" xr2:uid="{00000000-000D-0000-FFFF-FFFF00000000}"/>
  </bookViews>
  <sheets>
    <sheet name="Beispiel 11-6 ff." sheetId="1" r:id="rId1"/>
  </sheets>
  <definedNames>
    <definedName name="_xlnm.Print_Area" localSheetId="0">'Beispiel 11-6 ff.'!$A$1:$B$149</definedName>
  </definedNames>
  <calcPr calcId="179021"/>
</workbook>
</file>

<file path=xl/calcChain.xml><?xml version="1.0" encoding="utf-8"?>
<calcChain xmlns="http://schemas.openxmlformats.org/spreadsheetml/2006/main">
  <c r="B7" i="1" l="1"/>
  <c r="B8" i="1"/>
  <c r="B9" i="1"/>
  <c r="B54" i="1" l="1"/>
  <c r="B51" i="1"/>
  <c r="F9" i="1"/>
  <c r="E9" i="1"/>
  <c r="D9" i="1"/>
  <c r="F14" i="1"/>
  <c r="E14" i="1"/>
  <c r="B52" i="1" l="1"/>
  <c r="B89" i="1"/>
  <c r="B55" i="1"/>
  <c r="B93" i="1"/>
  <c r="E15" i="1"/>
  <c r="D15" i="1"/>
  <c r="F17" i="1"/>
  <c r="E17" i="1"/>
  <c r="D17" i="1"/>
  <c r="F15" i="1"/>
  <c r="E18" i="1" l="1"/>
  <c r="D18" i="1"/>
  <c r="B18" i="1" s="1"/>
  <c r="F18" i="1"/>
  <c r="B35" i="1"/>
  <c r="B94" i="1"/>
  <c r="B90" i="1"/>
  <c r="B5" i="1" l="1"/>
  <c r="B6" i="1" l="1"/>
  <c r="B11" i="1"/>
  <c r="B12" i="1"/>
  <c r="B164" i="1"/>
  <c r="B20" i="1"/>
  <c r="B21" i="1"/>
  <c r="B22" i="1"/>
  <c r="B24" i="1"/>
  <c r="B25" i="1"/>
  <c r="B27" i="1"/>
  <c r="B28" i="1"/>
  <c r="B75" i="1" s="1"/>
  <c r="B30" i="1"/>
  <c r="B31" i="1"/>
  <c r="B33" i="1"/>
  <c r="B100" i="1" s="1"/>
  <c r="B34" i="1"/>
  <c r="B98" i="1" s="1"/>
  <c r="B37" i="1"/>
  <c r="B38" i="1"/>
  <c r="B39" i="1"/>
  <c r="B41" i="1"/>
  <c r="B42" i="1"/>
  <c r="B44" i="1"/>
  <c r="B45" i="1"/>
  <c r="B47" i="1"/>
  <c r="B48" i="1"/>
  <c r="B49" i="1"/>
  <c r="B10" i="1"/>
  <c r="B165" i="1" l="1"/>
  <c r="B112" i="1"/>
  <c r="B135" i="1"/>
  <c r="B119" i="1"/>
  <c r="B121" i="1"/>
  <c r="B132" i="1"/>
  <c r="B138" i="1"/>
  <c r="B114" i="1"/>
  <c r="B105" i="1"/>
  <c r="B107" i="1"/>
  <c r="B62" i="1"/>
  <c r="B71" i="1"/>
  <c r="B77" i="1"/>
  <c r="B145" i="1"/>
  <c r="B163" i="1" s="1"/>
  <c r="B68" i="1"/>
  <c r="B60" i="1"/>
  <c r="B61" i="1"/>
  <c r="B157" i="1" s="1"/>
  <c r="B78" i="1" l="1"/>
  <c r="B146" i="1"/>
  <c r="B63" i="1"/>
  <c r="B72" i="1" s="1"/>
  <c r="B85" i="1"/>
  <c r="B87" i="1" s="1"/>
  <c r="B67" i="1" l="1"/>
  <c r="B69" i="1" s="1"/>
  <c r="B91" i="1"/>
  <c r="B95" i="1"/>
  <c r="B139" i="1" s="1"/>
  <c r="B120" i="1" l="1"/>
  <c r="B113" i="1"/>
  <c r="B101" i="1"/>
  <c r="B106" i="1"/>
  <c r="B99" i="1"/>
  <c r="B108" i="1"/>
  <c r="B133" i="1"/>
  <c r="B115" i="1"/>
  <c r="B136" i="1"/>
  <c r="B122" i="1"/>
  <c r="B80" i="1" l="1"/>
  <c r="B166" i="1" s="1"/>
  <c r="B126" i="1"/>
  <c r="B158" i="1" s="1"/>
  <c r="B141" i="1"/>
  <c r="B102" i="1"/>
  <c r="B109" i="1"/>
  <c r="B123" i="1"/>
  <c r="B116" i="1"/>
  <c r="B125" i="1"/>
  <c r="B175" i="1" l="1"/>
  <c r="B171" i="1"/>
  <c r="B149" i="1"/>
  <c r="B82" i="1"/>
  <c r="B127" i="1"/>
  <c r="B144" i="1"/>
  <c r="B129" i="1"/>
  <c r="B167" i="1" s="1"/>
  <c r="B147" i="1" l="1"/>
  <c r="B150" i="1" s="1"/>
  <c r="B156" i="1" l="1"/>
  <c r="B159" i="1" s="1"/>
  <c r="B148" i="1"/>
  <c r="B162" i="1"/>
  <c r="B168" i="1" s="1"/>
</calcChain>
</file>

<file path=xl/sharedStrings.xml><?xml version="1.0" encoding="utf-8"?>
<sst xmlns="http://schemas.openxmlformats.org/spreadsheetml/2006/main" count="135" uniqueCount="117">
  <si>
    <t>Bruttolohn</t>
  </si>
  <si>
    <t>Steuerpflichtiger Arbeitslohn</t>
  </si>
  <si>
    <t>Solidaritätszuschlagssatz</t>
  </si>
  <si>
    <t>Kirchensteuersatz</t>
  </si>
  <si>
    <t>U1-Satz</t>
  </si>
  <si>
    <t>Umlage U1</t>
  </si>
  <si>
    <t>U2-Satz</t>
  </si>
  <si>
    <t>Umlage U2</t>
  </si>
  <si>
    <t>Auszahlungsbetrag</t>
  </si>
  <si>
    <t>Sachbezüge</t>
  </si>
  <si>
    <t>Steuerfreier Bruttolohn</t>
  </si>
  <si>
    <t>Sozialversicherungsfreier Lohn</t>
  </si>
  <si>
    <t>Freibeträge</t>
  </si>
  <si>
    <t>Kinderfreibeträge</t>
  </si>
  <si>
    <t>Steuerklasse</t>
  </si>
  <si>
    <t>Tabelle: Solidaritätszuschlag</t>
  </si>
  <si>
    <t>Tabelle: Lohnsteuer</t>
  </si>
  <si>
    <t>Tabelle: Kirchsteuer</t>
  </si>
  <si>
    <t>KV-Gesamtbetrag</t>
  </si>
  <si>
    <t>PV-Gesamtbetrag</t>
  </si>
  <si>
    <t>RV-Gesamtbetrag</t>
  </si>
  <si>
    <t>AV-Gesamtbetrag</t>
  </si>
  <si>
    <t>VWL-Gesamtbeitrag</t>
  </si>
  <si>
    <t>Nettolohn</t>
  </si>
  <si>
    <t>Löhne und Gehälter</t>
  </si>
  <si>
    <t>Lohn/Gehalt</t>
  </si>
  <si>
    <t>Beitrag vermögenswirksame Leistungen Arbeitgeber</t>
  </si>
  <si>
    <t>Normal versteuerter Anteil</t>
  </si>
  <si>
    <t>Lohnsteuersatz</t>
  </si>
  <si>
    <t>Lohnsteuer</t>
  </si>
  <si>
    <t>Solidaritätszuschlag</t>
  </si>
  <si>
    <t>Kirchensteuer</t>
  </si>
  <si>
    <t>Steuerliche Abzüge Arbeitnehmer</t>
  </si>
  <si>
    <t>Beitrag Krankenversicherung Arbeitgeber</t>
  </si>
  <si>
    <t>Beitrag Krankenversicherung Arbeitnehmer</t>
  </si>
  <si>
    <t>Beitrag Pflegeversicherung Arbeitgeber</t>
  </si>
  <si>
    <t>Beitrag Pflegeversicherung Arbeitnehmer</t>
  </si>
  <si>
    <t>Beitrag Rentenversicherung Arbeitgeber</t>
  </si>
  <si>
    <t>Beitrag Rentenversicherung Arbeitnehmer</t>
  </si>
  <si>
    <t>Beitrag Sozialversicherungen Arbeitgeber</t>
  </si>
  <si>
    <t>Beitrag Sozialversicherungen Arbeitnehmer</t>
  </si>
  <si>
    <t>Beitrag Sozialversicherungen Gesamt</t>
  </si>
  <si>
    <t>Abführung Krankenversicherung</t>
  </si>
  <si>
    <t>Nettoabzüge</t>
  </si>
  <si>
    <t>Abzuziehende Sachbezüge</t>
  </si>
  <si>
    <t>Arbeitnehmer</t>
  </si>
  <si>
    <t>Szenarioauswahl</t>
  </si>
  <si>
    <t>Angestellter Maximilian</t>
  </si>
  <si>
    <t>Angestellte Grace</t>
  </si>
  <si>
    <t>Angestellte Isabelle</t>
  </si>
  <si>
    <t>an</t>
  </si>
  <si>
    <t>Insolvenzgeldumlagesatz</t>
  </si>
  <si>
    <t>Insolvenzgeldumlage</t>
  </si>
  <si>
    <t>Abführung Betriebsstättenfinanzamt Arbeitgeber</t>
  </si>
  <si>
    <t>Sozialversicherungspflichtiges Arbeitsentgelt ohne Berücksichtigung Beitragsbemessungsgrenzen</t>
  </si>
  <si>
    <t>Lohn- und Gehaltsabrechnung</t>
  </si>
  <si>
    <t>Daten</t>
  </si>
  <si>
    <t>Berechnung</t>
  </si>
  <si>
    <t>Buchung</t>
  </si>
  <si>
    <t>4130·6110·6410 Gesetzliche soziale Aufwendungen</t>
  </si>
  <si>
    <t>1740·3720·4850 Verbindlichkeiten aus Lohn und Gehalt</t>
  </si>
  <si>
    <t>1750·3770·4866 Verbindlichkeiten aus Vermögensbildung</t>
  </si>
  <si>
    <t>1776·3806·4805 Umsatzsteuer 19 %</t>
  </si>
  <si>
    <t>1741·3730·4831 Verbindlichkeiten aus Lohn- und Kirchenst.</t>
  </si>
  <si>
    <t>1759·3759·4840 Vorauss. Beitragsschuld (Krankenkasse)</t>
  </si>
  <si>
    <t>4170·6080·6321 Vermögenswirksame Leistungen</t>
  </si>
  <si>
    <t>Übung 10-2</t>
  </si>
  <si>
    <t>Zwischenübung 10.2</t>
  </si>
  <si>
    <t>Beispiel 10-1</t>
  </si>
  <si>
    <t>Bemessungsgrundlage KV &amp; PV</t>
  </si>
  <si>
    <t>Monatliche Bemessungsgrenze KV &amp; PV</t>
  </si>
  <si>
    <t>Einfache Entfernung Arbeitgeber</t>
  </si>
  <si>
    <t>Berechneter Sachbezug Fahrzeug</t>
  </si>
  <si>
    <t>Satz</t>
  </si>
  <si>
    <t>Bruttolistenpreis Kraftfahrzeug</t>
  </si>
  <si>
    <t>Bruttolistenpreis Kraftfahrzeug abgerundet</t>
  </si>
  <si>
    <t>Alter</t>
  </si>
  <si>
    <t>Geburtsjahr</t>
  </si>
  <si>
    <t>Arbeitnehmer: KV-Satz + Zusatzbeitragssatz/2</t>
  </si>
  <si>
    <t>Arbeitnehmer: KV-Satz</t>
  </si>
  <si>
    <t>Arbeitnehmer: KV-Zusatzbeitragssatz</t>
  </si>
  <si>
    <t>Arbeitnehmer: PV-Satz</t>
  </si>
  <si>
    <t>Arbeitnehmer: PV-Satz Kinderlose</t>
  </si>
  <si>
    <t>Arbeitnehmer: RV-Satz</t>
  </si>
  <si>
    <t>Arbeitnehmer: AV-Satz</t>
  </si>
  <si>
    <t>Arbeitgeber: KV-Satz</t>
  </si>
  <si>
    <t>Arbeitgeber: PV-Satz</t>
  </si>
  <si>
    <t>Arbeitgeber: RV-Satz</t>
  </si>
  <si>
    <t>Arbeitgeber: AV-Satz</t>
  </si>
  <si>
    <t>Arbeitgeber: VWL-Beitrag</t>
  </si>
  <si>
    <t>Arbeitgeber: KV-Satz + Zusatzbeitragssatz/2</t>
  </si>
  <si>
    <t>Beitrag Arbeitslosenversicherung Arbeitnehmer</t>
  </si>
  <si>
    <t>Beitrag Arbeitslosenversicherung Arbeitgeber</t>
  </si>
  <si>
    <t>Buchungssatz ohne Umlage</t>
  </si>
  <si>
    <t>Buchungssatz Umlage</t>
  </si>
  <si>
    <t>Krankenversicherung</t>
  </si>
  <si>
    <t>Pflegeversicherung</t>
  </si>
  <si>
    <t>Rentenversicherung</t>
  </si>
  <si>
    <t>Arbeitslosenversicherung</t>
  </si>
  <si>
    <t>Gesamtbelastung Arbeitgeber</t>
  </si>
  <si>
    <r>
      <t>Umlage</t>
    </r>
    <r>
      <rPr>
        <sz val="9"/>
        <color theme="1"/>
        <rFont val="Calibri"/>
        <family val="2"/>
        <scheme val="minor"/>
      </rPr>
      <t xml:space="preserve"> zur Abführung an die Krankenversicherung</t>
    </r>
  </si>
  <si>
    <t>Beitragsbemessungsgrenze KV &amp; PV</t>
  </si>
  <si>
    <t>Beitragsbemessungsgrenze RV &amp; AV</t>
  </si>
  <si>
    <t>Monatliche Bemessungsgrenze RV &amp; AV</t>
  </si>
  <si>
    <t>Bemessungsgrundlage RV &amp; AV</t>
  </si>
  <si>
    <t>Bemessungsgrundlage der Lohnsteuer</t>
  </si>
  <si>
    <t>8613·4948·5435 Verrechnete sonstige Sachbezüge 19 % USt</t>
  </si>
  <si>
    <t>Durchschnittlicher Lohnsteuersatz</t>
  </si>
  <si>
    <t>Bundesland</t>
  </si>
  <si>
    <t>Nordrhein-Westfalen</t>
  </si>
  <si>
    <t>Baden-Württemberg</t>
  </si>
  <si>
    <t>Mecklenburg-Vorpommern</t>
  </si>
  <si>
    <t>monatlich</t>
  </si>
  <si>
    <t>Anteil vom Bruttogehalt</t>
  </si>
  <si>
    <t>Anteil vom Auszahlungsbetrag</t>
  </si>
  <si>
    <t>Jährliche Bemessungsgrenze KV &amp; PV</t>
  </si>
  <si>
    <t>Jährliche Bemessungsgrenze RV &amp; 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</si>
</sst>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0.000%"/>
    <numFmt numFmtId="166" formatCode="#\ ##0.00\ &quot;€&quot;"/>
    <numFmt numFmtId="167" formatCode="#,##0.000\ &quot;€&quot;"/>
    <numFmt numFmtId="168" formatCode="#0.00\ &quot;km&quot;"/>
  </numFmts>
  <fonts count="12" x14ac:knownFonts="1"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sz val="9"/>
      <color theme="3"/>
      <name val="Calibri"/>
      <family val="2"/>
      <scheme val="maj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92D05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166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64" fontId="1" fillId="0" borderId="0" xfId="0" applyNumberFormat="1" applyFont="1"/>
    <xf numFmtId="164" fontId="2" fillId="0" borderId="0" xfId="0" applyNumberFormat="1" applyFont="1"/>
    <xf numFmtId="0" fontId="2" fillId="0" borderId="1" xfId="0" applyFont="1" applyBorder="1"/>
    <xf numFmtId="166" fontId="1" fillId="0" borderId="1" xfId="0" applyNumberFormat="1" applyFont="1" applyBorder="1" applyAlignment="1">
      <alignment horizontal="right"/>
    </xf>
    <xf numFmtId="10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/>
    <xf numFmtId="166" fontId="1" fillId="0" borderId="2" xfId="0" applyNumberFormat="1" applyFont="1" applyBorder="1" applyAlignment="1">
      <alignment horizontal="right"/>
    </xf>
    <xf numFmtId="166" fontId="2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166" fontId="7" fillId="0" borderId="0" xfId="0" applyNumberFormat="1" applyFont="1"/>
    <xf numFmtId="166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 vertical="center"/>
    </xf>
    <xf numFmtId="167" fontId="1" fillId="0" borderId="0" xfId="0" applyNumberFormat="1" applyFont="1"/>
    <xf numFmtId="168" fontId="1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 vertical="center"/>
    </xf>
    <xf numFmtId="0" fontId="1" fillId="0" borderId="0" xfId="0" applyNumberFormat="1" applyFont="1"/>
    <xf numFmtId="166" fontId="10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Text_BuJa">
      <a:dk1>
        <a:sysClr val="windowText" lastClr="000000"/>
      </a:dk1>
      <a:lt1>
        <a:sysClr val="window" lastClr="FFFFFF"/>
      </a:lt1>
      <a:dk2>
        <a:srgbClr val="0081C7"/>
      </a:dk2>
      <a:lt2>
        <a:srgbClr val="FFFFFF"/>
      </a:lt2>
      <a:accent1>
        <a:srgbClr val="000000"/>
      </a:accent1>
      <a:accent2>
        <a:srgbClr val="FFFFFF"/>
      </a:accent2>
      <a:accent3>
        <a:srgbClr val="92D050"/>
      </a:accent3>
      <a:accent4>
        <a:srgbClr val="969696"/>
      </a:accent4>
      <a:accent5>
        <a:srgbClr val="0081C7"/>
      </a:accent5>
      <a:accent6>
        <a:srgbClr val="D40032"/>
      </a:accent6>
      <a:hlink>
        <a:srgbClr val="0081C7"/>
      </a:hlink>
      <a:folHlink>
        <a:srgbClr val="0081C7"/>
      </a:folHlink>
    </a:clrScheme>
    <a:fontScheme name="BuJa-Tabellen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K175"/>
  <sheetViews>
    <sheetView tabSelected="1" zoomScale="130" zoomScaleNormal="130" workbookViewId="0">
      <selection activeCell="B3" sqref="B3"/>
    </sheetView>
  </sheetViews>
  <sheetFormatPr baseColWidth="10" defaultColWidth="11.44140625" defaultRowHeight="12" x14ac:dyDescent="0.25"/>
  <cols>
    <col min="1" max="1" width="70.5546875" style="2" bestFit="1" customWidth="1"/>
    <col min="2" max="2" width="20.21875" style="4" bestFit="1" customWidth="1"/>
    <col min="3" max="3" width="2" style="2" customWidth="1"/>
    <col min="4" max="6" width="20.5546875" style="2" customWidth="1"/>
    <col min="7" max="11" width="17.109375" style="2" customWidth="1"/>
    <col min="12" max="16384" width="11.44140625" style="2"/>
  </cols>
  <sheetData>
    <row r="1" spans="1:11" s="22" customFormat="1" ht="15.6" x14ac:dyDescent="0.3">
      <c r="A1" s="24" t="s">
        <v>55</v>
      </c>
      <c r="B1" s="23"/>
    </row>
    <row r="3" spans="1:11" x14ac:dyDescent="0.25">
      <c r="A3" s="25" t="s">
        <v>46</v>
      </c>
      <c r="B3" s="1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</row>
    <row r="5" spans="1:11" x14ac:dyDescent="0.25">
      <c r="A5" s="26" t="s">
        <v>56</v>
      </c>
      <c r="B5" s="3" t="str">
        <f t="shared" ref="B5:B22" si="0">INDEX(D5:K5,B$3)</f>
        <v>Beispiel 10-1</v>
      </c>
      <c r="D5" s="9" t="s">
        <v>68</v>
      </c>
      <c r="E5" s="9" t="s">
        <v>67</v>
      </c>
      <c r="F5" s="9" t="s">
        <v>66</v>
      </c>
      <c r="G5" s="9"/>
    </row>
    <row r="6" spans="1:11" x14ac:dyDescent="0.25">
      <c r="A6" s="29" t="s">
        <v>45</v>
      </c>
      <c r="B6" s="30" t="str">
        <f t="shared" si="0"/>
        <v>Angestellte Grace</v>
      </c>
      <c r="C6" s="30"/>
      <c r="D6" s="30" t="s">
        <v>48</v>
      </c>
      <c r="E6" s="30" t="s">
        <v>47</v>
      </c>
      <c r="F6" s="30" t="s">
        <v>49</v>
      </c>
      <c r="G6" s="30"/>
      <c r="I6" s="4"/>
      <c r="J6" s="4"/>
      <c r="K6" s="4"/>
    </row>
    <row r="7" spans="1:11" x14ac:dyDescent="0.25">
      <c r="A7" s="2" t="s">
        <v>108</v>
      </c>
      <c r="B7" s="7" t="str">
        <f t="shared" si="0"/>
        <v>Baden-Württemberg</v>
      </c>
      <c r="D7" s="4" t="s">
        <v>110</v>
      </c>
      <c r="E7" s="4" t="s">
        <v>111</v>
      </c>
      <c r="F7" s="4" t="s">
        <v>109</v>
      </c>
      <c r="G7" s="30"/>
      <c r="I7" s="4"/>
      <c r="J7" s="4"/>
      <c r="K7" s="4"/>
    </row>
    <row r="8" spans="1:11" x14ac:dyDescent="0.25">
      <c r="A8" s="2" t="s">
        <v>76</v>
      </c>
      <c r="B8" s="7">
        <f t="shared" si="0"/>
        <v>32</v>
      </c>
      <c r="C8" s="33"/>
      <c r="D8" s="7">
        <v>32</v>
      </c>
      <c r="E8" s="7">
        <v>38</v>
      </c>
      <c r="F8" s="7">
        <v>28</v>
      </c>
      <c r="G8" s="33"/>
      <c r="H8" s="34"/>
      <c r="I8" s="7"/>
      <c r="J8" s="7"/>
      <c r="K8" s="7"/>
    </row>
    <row r="9" spans="1:11" x14ac:dyDescent="0.25">
      <c r="A9" s="2" t="s">
        <v>77</v>
      </c>
      <c r="B9" s="7">
        <f t="shared" si="0"/>
        <v>1987</v>
      </c>
      <c r="C9" s="33"/>
      <c r="D9" s="7">
        <f>2019-D8</f>
        <v>1987</v>
      </c>
      <c r="E9" s="7">
        <f>2019-E8</f>
        <v>1981</v>
      </c>
      <c r="F9" s="7">
        <f>2019-F8</f>
        <v>1991</v>
      </c>
      <c r="G9" s="33"/>
      <c r="H9" s="34"/>
      <c r="I9" s="7"/>
      <c r="J9" s="7"/>
      <c r="K9" s="7"/>
    </row>
    <row r="10" spans="1:11" x14ac:dyDescent="0.25">
      <c r="A10" s="2" t="s">
        <v>25</v>
      </c>
      <c r="B10" s="5">
        <f t="shared" si="0"/>
        <v>4800</v>
      </c>
      <c r="D10" s="5">
        <v>4800</v>
      </c>
      <c r="E10" s="5">
        <v>9500</v>
      </c>
      <c r="F10" s="5">
        <v>3500</v>
      </c>
      <c r="G10" s="5"/>
      <c r="I10" s="5"/>
      <c r="J10" s="5"/>
      <c r="K10" s="5"/>
    </row>
    <row r="11" spans="1:11" x14ac:dyDescent="0.25">
      <c r="A11" s="2" t="s">
        <v>89</v>
      </c>
      <c r="B11" s="5">
        <f t="shared" si="0"/>
        <v>26</v>
      </c>
      <c r="D11" s="5">
        <v>26</v>
      </c>
      <c r="E11" s="5">
        <v>25</v>
      </c>
      <c r="F11" s="5">
        <v>20</v>
      </c>
      <c r="G11" s="5"/>
      <c r="I11" s="5"/>
      <c r="J11" s="5"/>
      <c r="K11" s="5"/>
    </row>
    <row r="12" spans="1:11" x14ac:dyDescent="0.25">
      <c r="A12" s="2" t="s">
        <v>22</v>
      </c>
      <c r="B12" s="5">
        <f t="shared" si="0"/>
        <v>40</v>
      </c>
      <c r="D12" s="5">
        <v>40</v>
      </c>
      <c r="E12" s="5">
        <v>38</v>
      </c>
      <c r="F12" s="5">
        <v>30</v>
      </c>
      <c r="G12" s="5"/>
      <c r="I12" s="5"/>
      <c r="J12" s="5"/>
      <c r="K12" s="5"/>
    </row>
    <row r="13" spans="1:11" x14ac:dyDescent="0.25">
      <c r="B13" s="5"/>
      <c r="D13" s="5"/>
      <c r="E13" s="5"/>
      <c r="F13" s="5"/>
      <c r="G13" s="5"/>
      <c r="I13" s="5"/>
      <c r="J13" s="5"/>
      <c r="K13" s="5"/>
    </row>
    <row r="14" spans="1:11" x14ac:dyDescent="0.25">
      <c r="A14" s="2" t="s">
        <v>74</v>
      </c>
      <c r="B14" s="5"/>
      <c r="D14" s="5">
        <v>37232.21</v>
      </c>
      <c r="E14" s="5">
        <f>83714*1.19</f>
        <v>99619.659999999989</v>
      </c>
      <c r="F14" s="5">
        <f>28714*1.19</f>
        <v>34169.659999999996</v>
      </c>
      <c r="G14" s="5"/>
      <c r="I14" s="5"/>
      <c r="J14" s="5"/>
      <c r="K14" s="5"/>
    </row>
    <row r="15" spans="1:11" x14ac:dyDescent="0.25">
      <c r="A15" s="2" t="s">
        <v>75</v>
      </c>
      <c r="B15" s="5"/>
      <c r="D15" s="5">
        <f>ROUNDDOWN(D14,-2)</f>
        <v>37200</v>
      </c>
      <c r="E15" s="5">
        <f>ROUNDDOWN(E14,-2)</f>
        <v>99600</v>
      </c>
      <c r="F15" s="5">
        <f>ROUNDDOWN(F14,-2)</f>
        <v>34100</v>
      </c>
      <c r="G15" s="5"/>
      <c r="I15" s="5"/>
      <c r="J15" s="5"/>
      <c r="K15" s="5"/>
    </row>
    <row r="16" spans="1:11" x14ac:dyDescent="0.25">
      <c r="A16" s="2" t="s">
        <v>71</v>
      </c>
      <c r="B16" s="32"/>
      <c r="C16" s="32"/>
      <c r="D16" s="32">
        <v>15</v>
      </c>
      <c r="E16" s="32">
        <v>27</v>
      </c>
      <c r="F16" s="32">
        <v>50</v>
      </c>
      <c r="G16" s="32"/>
      <c r="I16" s="32"/>
      <c r="J16" s="32"/>
      <c r="K16" s="32"/>
    </row>
    <row r="17" spans="1:11" x14ac:dyDescent="0.25">
      <c r="A17" s="2" t="s">
        <v>73</v>
      </c>
      <c r="B17" s="6"/>
      <c r="D17" s="6">
        <f>0.01 + 0.0003*D16</f>
        <v>1.4499999999999999E-2</v>
      </c>
      <c r="E17" s="6">
        <f>0.01 + 0.0003*E16</f>
        <v>1.8099999999999998E-2</v>
      </c>
      <c r="F17" s="6">
        <f>0.01 + 0.0003*F16</f>
        <v>2.5000000000000001E-2</v>
      </c>
      <c r="G17" s="5"/>
      <c r="I17" s="5"/>
      <c r="J17" s="5"/>
      <c r="K17" s="5"/>
    </row>
    <row r="18" spans="1:11" x14ac:dyDescent="0.25">
      <c r="A18" s="2" t="s">
        <v>72</v>
      </c>
      <c r="B18" s="5">
        <f t="shared" si="0"/>
        <v>539.4</v>
      </c>
      <c r="D18" s="5">
        <f>D15*D17</f>
        <v>539.4</v>
      </c>
      <c r="E18" s="5">
        <f t="shared" ref="E18:F18" si="1">E15*E17</f>
        <v>1802.7599999999998</v>
      </c>
      <c r="F18" s="5">
        <f t="shared" si="1"/>
        <v>852.5</v>
      </c>
      <c r="G18" s="5"/>
      <c r="I18" s="5"/>
      <c r="J18" s="5"/>
      <c r="K18" s="5"/>
    </row>
    <row r="19" spans="1:11" x14ac:dyDescent="0.25">
      <c r="B19" s="5"/>
      <c r="D19" s="5"/>
      <c r="E19" s="5"/>
      <c r="F19" s="5"/>
      <c r="G19" s="5"/>
      <c r="I19" s="5"/>
      <c r="J19" s="5"/>
      <c r="K19" s="5"/>
    </row>
    <row r="20" spans="1:11" x14ac:dyDescent="0.25">
      <c r="A20" s="2" t="s">
        <v>12</v>
      </c>
      <c r="B20" s="5">
        <f t="shared" si="0"/>
        <v>0</v>
      </c>
      <c r="D20" s="5">
        <v>0</v>
      </c>
      <c r="E20" s="5">
        <v>0</v>
      </c>
      <c r="F20" s="5">
        <v>0</v>
      </c>
      <c r="G20" s="5"/>
      <c r="I20" s="5"/>
      <c r="J20" s="5"/>
      <c r="K20" s="5"/>
    </row>
    <row r="21" spans="1:11" x14ac:dyDescent="0.25">
      <c r="A21" s="2" t="s">
        <v>14</v>
      </c>
      <c r="B21" s="4">
        <f t="shared" si="0"/>
        <v>4</v>
      </c>
      <c r="D21" s="4">
        <v>4</v>
      </c>
      <c r="E21" s="4">
        <v>1</v>
      </c>
      <c r="F21" s="4">
        <v>1</v>
      </c>
      <c r="G21" s="4"/>
      <c r="I21" s="4"/>
      <c r="J21" s="4"/>
      <c r="K21" s="4"/>
    </row>
    <row r="22" spans="1:11" x14ac:dyDescent="0.25">
      <c r="A22" s="2" t="s">
        <v>13</v>
      </c>
      <c r="B22" s="4">
        <f t="shared" si="0"/>
        <v>0</v>
      </c>
      <c r="D22" s="4">
        <v>0</v>
      </c>
      <c r="E22" s="4">
        <v>0</v>
      </c>
      <c r="F22" s="4">
        <v>0</v>
      </c>
      <c r="G22" s="4"/>
      <c r="I22" s="4"/>
      <c r="J22" s="4"/>
      <c r="K22" s="4"/>
    </row>
    <row r="23" spans="1:11" x14ac:dyDescent="0.25">
      <c r="D23" s="4"/>
      <c r="E23" s="4"/>
      <c r="F23" s="4"/>
      <c r="G23" s="4"/>
      <c r="I23" s="4"/>
      <c r="J23" s="4"/>
      <c r="K23" s="4"/>
    </row>
    <row r="24" spans="1:11" x14ac:dyDescent="0.25">
      <c r="A24" s="2" t="s">
        <v>28</v>
      </c>
      <c r="B24" s="6">
        <f>INDEX(D24:K24,B$3)</f>
        <v>0</v>
      </c>
      <c r="D24" s="6"/>
      <c r="E24" s="6"/>
      <c r="F24" s="6"/>
      <c r="G24" s="6"/>
      <c r="I24" s="6"/>
      <c r="J24" s="6"/>
      <c r="K24" s="6"/>
    </row>
    <row r="25" spans="1:11" x14ac:dyDescent="0.25">
      <c r="A25" s="2" t="s">
        <v>16</v>
      </c>
      <c r="B25" s="5">
        <f>INDEX(D25:K25,B$3)</f>
        <v>1076</v>
      </c>
      <c r="D25" s="35">
        <v>1076</v>
      </c>
      <c r="E25" s="35">
        <v>3524.5</v>
      </c>
      <c r="F25" s="35">
        <v>753.08</v>
      </c>
      <c r="G25" s="5"/>
      <c r="I25" s="5"/>
      <c r="J25" s="5"/>
      <c r="K25" s="5"/>
    </row>
    <row r="26" spans="1:11" x14ac:dyDescent="0.25">
      <c r="B26" s="5"/>
      <c r="D26" s="5"/>
      <c r="E26" s="5"/>
      <c r="F26" s="5"/>
      <c r="G26" s="5"/>
      <c r="I26" s="5"/>
      <c r="J26" s="5"/>
      <c r="K26" s="5"/>
    </row>
    <row r="27" spans="1:11" x14ac:dyDescent="0.25">
      <c r="A27" s="2" t="s">
        <v>2</v>
      </c>
      <c r="B27" s="6">
        <f>INDEX(D27:K27,B$3)</f>
        <v>5.5E-2</v>
      </c>
      <c r="D27" s="6">
        <v>5.5E-2</v>
      </c>
      <c r="E27" s="6">
        <v>5.5E-2</v>
      </c>
      <c r="F27" s="6">
        <v>5.5E-2</v>
      </c>
      <c r="G27" s="6"/>
      <c r="I27" s="6"/>
      <c r="J27" s="6"/>
      <c r="K27" s="6"/>
    </row>
    <row r="28" spans="1:11" x14ac:dyDescent="0.25">
      <c r="A28" s="2" t="s">
        <v>15</v>
      </c>
      <c r="B28" s="5">
        <f>INDEX(D28:K28,B$3)</f>
        <v>0</v>
      </c>
      <c r="D28" s="5">
        <v>0</v>
      </c>
      <c r="E28" s="5">
        <v>193.84</v>
      </c>
      <c r="F28" s="5">
        <v>0</v>
      </c>
      <c r="G28" s="5"/>
      <c r="I28" s="5"/>
      <c r="J28" s="5"/>
      <c r="K28" s="5"/>
    </row>
    <row r="29" spans="1:11" x14ac:dyDescent="0.25">
      <c r="B29" s="5"/>
      <c r="D29" s="5"/>
      <c r="E29" s="5"/>
      <c r="F29" s="5"/>
      <c r="G29" s="5"/>
      <c r="I29" s="5"/>
      <c r="J29" s="5"/>
      <c r="K29" s="5"/>
    </row>
    <row r="30" spans="1:11" x14ac:dyDescent="0.25">
      <c r="A30" s="2" t="s">
        <v>3</v>
      </c>
      <c r="B30" s="6">
        <f>INDEX(D30:K30,B$3)</f>
        <v>0.08</v>
      </c>
      <c r="D30" s="6">
        <v>0.08</v>
      </c>
      <c r="E30" s="6">
        <v>0</v>
      </c>
      <c r="F30" s="6">
        <v>0.09</v>
      </c>
      <c r="G30" s="6"/>
      <c r="I30" s="6"/>
      <c r="J30" s="6"/>
      <c r="K30" s="6"/>
    </row>
    <row r="31" spans="1:11" x14ac:dyDescent="0.25">
      <c r="A31" s="2" t="s">
        <v>17</v>
      </c>
      <c r="B31" s="5">
        <f>INDEX(D31:K31,B$3)</f>
        <v>0</v>
      </c>
      <c r="D31" s="5"/>
      <c r="E31" s="5"/>
      <c r="F31" s="5"/>
      <c r="G31" s="5"/>
      <c r="I31" s="5"/>
      <c r="J31" s="5"/>
      <c r="K31" s="5"/>
    </row>
    <row r="32" spans="1:11" x14ac:dyDescent="0.25">
      <c r="B32" s="5"/>
      <c r="D32" s="5"/>
      <c r="E32" s="5"/>
      <c r="F32" s="5"/>
      <c r="G32" s="5"/>
      <c r="I32" s="5"/>
      <c r="J32" s="5"/>
      <c r="K32" s="5"/>
    </row>
    <row r="33" spans="1:11" x14ac:dyDescent="0.25">
      <c r="A33" s="2" t="s">
        <v>85</v>
      </c>
      <c r="B33" s="6">
        <f>INDEX(D33:K33,B$3)</f>
        <v>7.2999999999999995E-2</v>
      </c>
      <c r="D33" s="6">
        <v>7.2999999999999995E-2</v>
      </c>
      <c r="E33" s="6">
        <v>7.2999999999999995E-2</v>
      </c>
      <c r="F33" s="6">
        <v>7.2999999999999995E-2</v>
      </c>
      <c r="G33" s="6"/>
      <c r="I33" s="6"/>
      <c r="J33" s="6"/>
      <c r="K33" s="6"/>
    </row>
    <row r="34" spans="1:11" x14ac:dyDescent="0.25">
      <c r="A34" s="2" t="s">
        <v>79</v>
      </c>
      <c r="B34" s="6">
        <f>INDEX(D34:K34,B$3)</f>
        <v>7.2999999999999995E-2</v>
      </c>
      <c r="D34" s="6">
        <v>7.2999999999999995E-2</v>
      </c>
      <c r="E34" s="6">
        <v>7.2999999999999995E-2</v>
      </c>
      <c r="F34" s="6">
        <v>7.2999999999999995E-2</v>
      </c>
      <c r="G34" s="6"/>
      <c r="I34" s="6"/>
      <c r="J34" s="6"/>
      <c r="K34" s="6"/>
    </row>
    <row r="35" spans="1:11" x14ac:dyDescent="0.25">
      <c r="A35" s="2" t="s">
        <v>80</v>
      </c>
      <c r="B35" s="6">
        <f>INDEX(D35:K35,B$3)</f>
        <v>0.01</v>
      </c>
      <c r="D35" s="6">
        <v>0.01</v>
      </c>
      <c r="E35" s="6">
        <v>1.2E-2</v>
      </c>
      <c r="F35" s="6">
        <v>8.0000000000000002E-3</v>
      </c>
      <c r="G35" s="6"/>
      <c r="I35" s="6"/>
      <c r="J35" s="6"/>
      <c r="K35" s="6"/>
    </row>
    <row r="36" spans="1:11" x14ac:dyDescent="0.25">
      <c r="B36" s="6"/>
      <c r="D36" s="6"/>
      <c r="E36" s="6"/>
      <c r="F36" s="6"/>
      <c r="G36" s="6"/>
      <c r="I36" s="6"/>
      <c r="J36" s="6"/>
      <c r="K36" s="6"/>
    </row>
    <row r="37" spans="1:11" x14ac:dyDescent="0.25">
      <c r="A37" s="2" t="s">
        <v>86</v>
      </c>
      <c r="B37" s="6">
        <f>INDEX(D37:K37,B$3)</f>
        <v>1.525E-2</v>
      </c>
      <c r="D37" s="6">
        <v>1.525E-2</v>
      </c>
      <c r="E37" s="6">
        <v>1.525E-2</v>
      </c>
      <c r="F37" s="6">
        <v>1.525E-2</v>
      </c>
      <c r="G37" s="6"/>
      <c r="I37" s="6"/>
      <c r="J37" s="6"/>
      <c r="K37" s="6"/>
    </row>
    <row r="38" spans="1:11" x14ac:dyDescent="0.25">
      <c r="A38" s="2" t="s">
        <v>81</v>
      </c>
      <c r="B38" s="6">
        <f>INDEX(D38:K38,B$3)</f>
        <v>1.525E-2</v>
      </c>
      <c r="D38" s="6">
        <v>1.525E-2</v>
      </c>
      <c r="E38" s="6">
        <v>1.525E-2</v>
      </c>
      <c r="F38" s="6">
        <v>1.525E-2</v>
      </c>
      <c r="G38" s="6"/>
      <c r="I38" s="6"/>
      <c r="J38" s="6"/>
      <c r="K38" s="6"/>
    </row>
    <row r="39" spans="1:11" x14ac:dyDescent="0.25">
      <c r="A39" s="2" t="s">
        <v>82</v>
      </c>
      <c r="B39" s="6">
        <f>INDEX(D39:K39,B$3)</f>
        <v>3.5000000000000001E-3</v>
      </c>
      <c r="D39" s="6">
        <v>3.5000000000000001E-3</v>
      </c>
      <c r="E39" s="6">
        <v>3.5000000000000001E-3</v>
      </c>
      <c r="F39" s="6">
        <v>3.5000000000000001E-3</v>
      </c>
      <c r="G39" s="6"/>
      <c r="I39" s="6"/>
      <c r="J39" s="6"/>
      <c r="K39" s="6"/>
    </row>
    <row r="40" spans="1:11" x14ac:dyDescent="0.25">
      <c r="B40" s="6"/>
      <c r="D40" s="6"/>
      <c r="E40" s="6"/>
      <c r="F40" s="6"/>
      <c r="G40" s="6"/>
      <c r="I40" s="6"/>
      <c r="J40" s="6"/>
      <c r="K40" s="6"/>
    </row>
    <row r="41" spans="1:11" x14ac:dyDescent="0.25">
      <c r="A41" s="2" t="s">
        <v>87</v>
      </c>
      <c r="B41" s="6">
        <f>INDEX(D41:K41,B$3)</f>
        <v>9.2999999999999999E-2</v>
      </c>
      <c r="D41" s="6">
        <v>9.2999999999999999E-2</v>
      </c>
      <c r="E41" s="6">
        <v>9.2999999999999999E-2</v>
      </c>
      <c r="F41" s="6">
        <v>9.2999999999999999E-2</v>
      </c>
      <c r="G41" s="6"/>
      <c r="I41" s="6"/>
      <c r="J41" s="6"/>
      <c r="K41" s="6"/>
    </row>
    <row r="42" spans="1:11" x14ac:dyDescent="0.25">
      <c r="A42" s="2" t="s">
        <v>83</v>
      </c>
      <c r="B42" s="6">
        <f>INDEX(D42:K42,B$3)</f>
        <v>9.2999999999999999E-2</v>
      </c>
      <c r="D42" s="6">
        <v>9.2999999999999999E-2</v>
      </c>
      <c r="E42" s="6">
        <v>9.2999999999999999E-2</v>
      </c>
      <c r="F42" s="6">
        <v>9.2999999999999999E-2</v>
      </c>
      <c r="G42" s="6"/>
      <c r="I42" s="6"/>
      <c r="J42" s="6"/>
      <c r="K42" s="6"/>
    </row>
    <row r="43" spans="1:11" x14ac:dyDescent="0.25">
      <c r="B43" s="6"/>
      <c r="D43" s="6"/>
      <c r="E43" s="6"/>
      <c r="F43" s="6"/>
      <c r="G43" s="6"/>
      <c r="I43" s="6"/>
      <c r="J43" s="6"/>
      <c r="K43" s="6"/>
    </row>
    <row r="44" spans="1:11" x14ac:dyDescent="0.25">
      <c r="A44" s="2" t="s">
        <v>88</v>
      </c>
      <c r="B44" s="6">
        <f>INDEX(D44:K44,B$3)</f>
        <v>1.2E-2</v>
      </c>
      <c r="D44" s="6">
        <v>1.2E-2</v>
      </c>
      <c r="E44" s="6">
        <v>1.2E-2</v>
      </c>
      <c r="F44" s="6">
        <v>1.2E-2</v>
      </c>
      <c r="G44" s="6"/>
      <c r="I44" s="6"/>
      <c r="J44" s="6"/>
      <c r="K44" s="6"/>
    </row>
    <row r="45" spans="1:11" x14ac:dyDescent="0.25">
      <c r="A45" s="2" t="s">
        <v>84</v>
      </c>
      <c r="B45" s="6">
        <f>INDEX(D45:K45,B$3)</f>
        <v>1.2E-2</v>
      </c>
      <c r="D45" s="6">
        <v>1.2E-2</v>
      </c>
      <c r="E45" s="6">
        <v>1.2E-2</v>
      </c>
      <c r="F45" s="6">
        <v>1.2E-2</v>
      </c>
      <c r="G45" s="6"/>
      <c r="I45" s="6"/>
      <c r="J45" s="6"/>
      <c r="K45" s="6"/>
    </row>
    <row r="46" spans="1:11" x14ac:dyDescent="0.25">
      <c r="B46" s="6"/>
      <c r="D46" s="6"/>
      <c r="E46" s="6"/>
      <c r="F46" s="6"/>
      <c r="G46" s="6"/>
      <c r="I46" s="6"/>
      <c r="J46" s="6"/>
      <c r="K46" s="6"/>
    </row>
    <row r="47" spans="1:11" x14ac:dyDescent="0.25">
      <c r="A47" s="2" t="s">
        <v>4</v>
      </c>
      <c r="B47" s="6">
        <f>INDEX(D47:K47,B$3)</f>
        <v>3.6999999999999998E-2</v>
      </c>
      <c r="D47" s="6">
        <v>3.6999999999999998E-2</v>
      </c>
      <c r="E47" s="6">
        <v>3.6999999999999998E-2</v>
      </c>
      <c r="F47" s="6">
        <v>3.6999999999999998E-2</v>
      </c>
      <c r="G47" s="6"/>
      <c r="I47" s="6"/>
      <c r="J47" s="6"/>
      <c r="K47" s="6"/>
    </row>
    <row r="48" spans="1:11" x14ac:dyDescent="0.25">
      <c r="A48" s="2" t="s">
        <v>6</v>
      </c>
      <c r="B48" s="6">
        <f>INDEX(D48:K48,B$3)</f>
        <v>3.0000000000000001E-3</v>
      </c>
      <c r="D48" s="6">
        <v>3.0000000000000001E-3</v>
      </c>
      <c r="E48" s="6">
        <v>3.0000000000000001E-3</v>
      </c>
      <c r="F48" s="6">
        <v>3.0000000000000001E-3</v>
      </c>
      <c r="G48" s="6"/>
      <c r="I48" s="6"/>
      <c r="J48" s="6"/>
      <c r="K48" s="6"/>
    </row>
    <row r="49" spans="1:11" x14ac:dyDescent="0.25">
      <c r="A49" s="2" t="s">
        <v>51</v>
      </c>
      <c r="B49" s="6">
        <f>INDEX(D49:K49,B$3)</f>
        <v>8.9999999999999998E-4</v>
      </c>
      <c r="D49" s="6">
        <v>8.9999999999999998E-4</v>
      </c>
      <c r="E49" s="6">
        <v>8.9999999999999998E-4</v>
      </c>
      <c r="F49" s="6">
        <v>8.9999999999999998E-4</v>
      </c>
      <c r="G49" s="6"/>
      <c r="I49" s="6"/>
      <c r="J49" s="6"/>
      <c r="K49" s="6"/>
    </row>
    <row r="50" spans="1:11" x14ac:dyDescent="0.25">
      <c r="B50" s="7"/>
      <c r="D50" s="4"/>
    </row>
    <row r="51" spans="1:11" x14ac:dyDescent="0.25">
      <c r="A51" s="2" t="s">
        <v>101</v>
      </c>
      <c r="B51" s="5">
        <f>INDEX(D51:K51,B$3)</f>
        <v>58050</v>
      </c>
      <c r="D51" s="5">
        <v>58050</v>
      </c>
      <c r="E51" s="5">
        <v>58050</v>
      </c>
      <c r="F51" s="5">
        <v>58050</v>
      </c>
    </row>
    <row r="52" spans="1:11" x14ac:dyDescent="0.25">
      <c r="A52" s="2" t="s">
        <v>112</v>
      </c>
      <c r="B52" s="5">
        <f>B51/12</f>
        <v>4837.5</v>
      </c>
      <c r="D52" s="5"/>
      <c r="E52" s="5"/>
      <c r="F52" s="5"/>
    </row>
    <row r="53" spans="1:11" x14ac:dyDescent="0.25">
      <c r="B53" s="5"/>
      <c r="D53" s="5"/>
      <c r="E53" s="5"/>
      <c r="F53" s="5"/>
    </row>
    <row r="54" spans="1:11" x14ac:dyDescent="0.25">
      <c r="A54" s="2" t="s">
        <v>102</v>
      </c>
      <c r="B54" s="5">
        <f>INDEX(D54:K54,B$3)</f>
        <v>84600</v>
      </c>
      <c r="D54" s="5">
        <v>84600</v>
      </c>
      <c r="E54" s="5">
        <v>81000</v>
      </c>
      <c r="F54" s="5">
        <v>84600</v>
      </c>
    </row>
    <row r="55" spans="1:11" x14ac:dyDescent="0.25">
      <c r="A55" s="2" t="s">
        <v>112</v>
      </c>
      <c r="B55" s="21">
        <f>B54/12</f>
        <v>7050</v>
      </c>
      <c r="D55" s="4"/>
    </row>
    <row r="56" spans="1:11" x14ac:dyDescent="0.25">
      <c r="B56" s="7"/>
      <c r="D56" s="4"/>
    </row>
    <row r="57" spans="1:11" x14ac:dyDescent="0.25">
      <c r="A57" s="26" t="s">
        <v>57</v>
      </c>
    </row>
    <row r="58" spans="1:11" x14ac:dyDescent="0.25">
      <c r="B58" s="8" t="s">
        <v>27</v>
      </c>
      <c r="D58" s="9"/>
      <c r="E58" s="9"/>
      <c r="F58" s="9"/>
      <c r="G58" s="9"/>
    </row>
    <row r="59" spans="1:11" x14ac:dyDescent="0.25">
      <c r="B59" s="2"/>
    </row>
    <row r="60" spans="1:11" x14ac:dyDescent="0.25">
      <c r="A60" s="2" t="s">
        <v>25</v>
      </c>
      <c r="B60" s="5">
        <f>B10</f>
        <v>4800</v>
      </c>
      <c r="D60" s="10"/>
      <c r="E60" s="10"/>
      <c r="F60" s="10"/>
    </row>
    <row r="61" spans="1:11" x14ac:dyDescent="0.25">
      <c r="A61" s="2" t="s">
        <v>26</v>
      </c>
      <c r="B61" s="5">
        <f>B11</f>
        <v>26</v>
      </c>
      <c r="D61" s="10"/>
      <c r="E61" s="10"/>
      <c r="F61" s="10"/>
    </row>
    <row r="62" spans="1:11" x14ac:dyDescent="0.25">
      <c r="A62" s="2" t="s">
        <v>9</v>
      </c>
      <c r="B62" s="5">
        <f>B18</f>
        <v>539.4</v>
      </c>
      <c r="C62" s="28"/>
      <c r="D62" s="10"/>
      <c r="E62" s="10"/>
      <c r="F62" s="10"/>
      <c r="G62" s="10"/>
    </row>
    <row r="63" spans="1:11" x14ac:dyDescent="0.25">
      <c r="A63" s="1" t="s">
        <v>0</v>
      </c>
      <c r="B63" s="3">
        <f>SUM(B$60:B$62)</f>
        <v>5365.4</v>
      </c>
      <c r="C63" s="27"/>
      <c r="D63" s="11"/>
      <c r="E63" s="11"/>
      <c r="F63" s="11"/>
      <c r="G63" s="11"/>
    </row>
    <row r="64" spans="1:11" ht="12.6" thickBot="1" x14ac:dyDescent="0.3">
      <c r="A64" s="1"/>
      <c r="B64" s="5"/>
      <c r="D64" s="11"/>
      <c r="E64" s="11"/>
      <c r="F64" s="11"/>
      <c r="G64" s="11"/>
    </row>
    <row r="65" spans="1:7" x14ac:dyDescent="0.25">
      <c r="A65" s="12"/>
      <c r="B65" s="13"/>
      <c r="D65" s="11"/>
      <c r="E65" s="11"/>
      <c r="F65" s="11"/>
      <c r="G65" s="11"/>
    </row>
    <row r="66" spans="1:7" x14ac:dyDescent="0.25">
      <c r="A66" s="2" t="s">
        <v>10</v>
      </c>
      <c r="B66" s="5">
        <v>0</v>
      </c>
      <c r="D66" s="10"/>
      <c r="E66" s="10"/>
      <c r="F66" s="10"/>
      <c r="G66" s="10"/>
    </row>
    <row r="67" spans="1:7" x14ac:dyDescent="0.25">
      <c r="A67" s="2" t="s">
        <v>1</v>
      </c>
      <c r="B67" s="5">
        <f>B63-B66</f>
        <v>5365.4</v>
      </c>
      <c r="D67" s="11"/>
      <c r="E67" s="11"/>
      <c r="F67" s="11"/>
      <c r="G67" s="11"/>
    </row>
    <row r="68" spans="1:7" x14ac:dyDescent="0.25">
      <c r="A68" s="2" t="s">
        <v>12</v>
      </c>
      <c r="B68" s="5">
        <f>B20</f>
        <v>0</v>
      </c>
      <c r="D68" s="11"/>
      <c r="E68" s="11"/>
      <c r="F68" s="11"/>
      <c r="G68" s="11"/>
    </row>
    <row r="69" spans="1:7" x14ac:dyDescent="0.25">
      <c r="A69" s="2" t="s">
        <v>105</v>
      </c>
      <c r="B69" s="5">
        <f>B67-B68</f>
        <v>5365.4</v>
      </c>
      <c r="D69" s="11"/>
      <c r="E69" s="11"/>
      <c r="F69" s="11"/>
      <c r="G69" s="11"/>
    </row>
    <row r="70" spans="1:7" x14ac:dyDescent="0.25">
      <c r="B70" s="5"/>
      <c r="D70" s="10"/>
      <c r="E70" s="10"/>
    </row>
    <row r="71" spans="1:7" x14ac:dyDescent="0.25">
      <c r="A71" s="1" t="s">
        <v>29</v>
      </c>
      <c r="B71" s="36">
        <f>B25</f>
        <v>1076</v>
      </c>
      <c r="D71" s="10"/>
      <c r="E71" s="10"/>
      <c r="F71" s="10"/>
      <c r="G71" s="10"/>
    </row>
    <row r="72" spans="1:7" x14ac:dyDescent="0.25">
      <c r="A72" s="2" t="s">
        <v>107</v>
      </c>
      <c r="B72" s="6">
        <f>B71/B63</f>
        <v>0.20054422783017112</v>
      </c>
      <c r="D72" s="14"/>
      <c r="E72" s="14"/>
      <c r="F72" s="14"/>
      <c r="G72" s="14"/>
    </row>
    <row r="73" spans="1:7" x14ac:dyDescent="0.25">
      <c r="B73" s="2"/>
      <c r="D73" s="10"/>
      <c r="E73" s="10"/>
    </row>
    <row r="74" spans="1:7" x14ac:dyDescent="0.25">
      <c r="A74" s="2" t="s">
        <v>2</v>
      </c>
      <c r="B74" s="6">
        <v>5.5E-2</v>
      </c>
      <c r="C74" s="31"/>
      <c r="D74" s="14"/>
      <c r="E74" s="14"/>
      <c r="F74" s="14"/>
      <c r="G74" s="14"/>
    </row>
    <row r="75" spans="1:7" x14ac:dyDescent="0.25">
      <c r="A75" s="1" t="s">
        <v>30</v>
      </c>
      <c r="B75" s="35">
        <f>B28</f>
        <v>0</v>
      </c>
      <c r="D75" s="10"/>
      <c r="E75" s="10"/>
      <c r="F75" s="10"/>
      <c r="G75" s="10"/>
    </row>
    <row r="76" spans="1:7" x14ac:dyDescent="0.25">
      <c r="B76" s="2"/>
      <c r="D76" s="10"/>
      <c r="E76" s="10"/>
    </row>
    <row r="77" spans="1:7" x14ac:dyDescent="0.25">
      <c r="A77" s="2" t="s">
        <v>3</v>
      </c>
      <c r="B77" s="6">
        <f>B30</f>
        <v>0.08</v>
      </c>
      <c r="D77" s="14"/>
      <c r="E77" s="14"/>
      <c r="F77" s="14"/>
      <c r="G77" s="14"/>
    </row>
    <row r="78" spans="1:7" x14ac:dyDescent="0.25">
      <c r="A78" s="1" t="s">
        <v>31</v>
      </c>
      <c r="B78" s="35">
        <f>IF(B31&gt;0,B31,ROUNDDOWN(B$71*B77,2))</f>
        <v>86.08</v>
      </c>
      <c r="D78" s="10"/>
      <c r="E78" s="10"/>
      <c r="G78" s="10"/>
    </row>
    <row r="79" spans="1:7" x14ac:dyDescent="0.25">
      <c r="B79" s="10"/>
      <c r="D79" s="10"/>
      <c r="E79" s="10"/>
      <c r="F79" s="10"/>
      <c r="G79" s="10"/>
    </row>
    <row r="80" spans="1:7" x14ac:dyDescent="0.25">
      <c r="A80" s="1" t="s">
        <v>32</v>
      </c>
      <c r="B80" s="36">
        <f>B71+B75+B78</f>
        <v>1162.08</v>
      </c>
      <c r="D80" s="10"/>
      <c r="E80" s="10"/>
      <c r="F80" s="10"/>
      <c r="G80" s="10"/>
    </row>
    <row r="81" spans="1:7" x14ac:dyDescent="0.25">
      <c r="B81" s="5"/>
      <c r="D81" s="10"/>
      <c r="E81" s="10"/>
      <c r="F81" s="10"/>
      <c r="G81" s="10"/>
    </row>
    <row r="82" spans="1:7" x14ac:dyDescent="0.25">
      <c r="A82" s="2" t="s">
        <v>53</v>
      </c>
      <c r="B82" s="5">
        <f>B80</f>
        <v>1162.08</v>
      </c>
      <c r="D82" s="10"/>
      <c r="E82" s="10"/>
      <c r="F82" s="10"/>
      <c r="G82" s="10"/>
    </row>
    <row r="83" spans="1:7" ht="12.6" thickBot="1" x14ac:dyDescent="0.3">
      <c r="B83" s="5"/>
      <c r="D83" s="10"/>
      <c r="E83" s="10"/>
      <c r="F83" s="10"/>
      <c r="G83" s="10"/>
    </row>
    <row r="84" spans="1:7" x14ac:dyDescent="0.25">
      <c r="A84" s="15"/>
      <c r="B84" s="16"/>
      <c r="D84" s="10"/>
      <c r="E84" s="10"/>
      <c r="F84" s="10"/>
      <c r="G84" s="10"/>
    </row>
    <row r="85" spans="1:7" x14ac:dyDescent="0.25">
      <c r="A85" s="2" t="s">
        <v>0</v>
      </c>
      <c r="B85" s="5">
        <f>SUM(B$60:B$62)</f>
        <v>5365.4</v>
      </c>
      <c r="D85" s="11"/>
      <c r="E85" s="11"/>
      <c r="F85" s="11"/>
      <c r="G85" s="11"/>
    </row>
    <row r="86" spans="1:7" x14ac:dyDescent="0.25">
      <c r="A86" s="2" t="s">
        <v>11</v>
      </c>
      <c r="B86" s="5">
        <v>0</v>
      </c>
      <c r="D86" s="10"/>
      <c r="E86" s="10"/>
      <c r="F86" s="10"/>
      <c r="G86" s="10"/>
    </row>
    <row r="87" spans="1:7" x14ac:dyDescent="0.25">
      <c r="A87" s="2" t="s">
        <v>54</v>
      </c>
      <c r="B87" s="5">
        <f>B85-B86</f>
        <v>5365.4</v>
      </c>
      <c r="D87" s="11"/>
      <c r="E87" s="11"/>
      <c r="F87" s="11"/>
      <c r="G87" s="11"/>
    </row>
    <row r="88" spans="1:7" x14ac:dyDescent="0.25">
      <c r="B88" s="5"/>
      <c r="D88" s="11"/>
      <c r="E88" s="11"/>
      <c r="F88" s="11"/>
      <c r="G88" s="11"/>
    </row>
    <row r="89" spans="1:7" x14ac:dyDescent="0.25">
      <c r="A89" s="2" t="s">
        <v>115</v>
      </c>
      <c r="B89" s="5">
        <f>B51</f>
        <v>58050</v>
      </c>
      <c r="D89" s="11"/>
      <c r="E89" s="11"/>
      <c r="F89" s="11"/>
      <c r="G89" s="11"/>
    </row>
    <row r="90" spans="1:7" x14ac:dyDescent="0.25">
      <c r="A90" s="2" t="s">
        <v>70</v>
      </c>
      <c r="B90" s="5">
        <f>B51/12</f>
        <v>4837.5</v>
      </c>
      <c r="D90" s="11"/>
      <c r="E90" s="11"/>
      <c r="F90" s="11"/>
      <c r="G90" s="11"/>
    </row>
    <row r="91" spans="1:7" x14ac:dyDescent="0.25">
      <c r="A91" s="2" t="s">
        <v>69</v>
      </c>
      <c r="B91" s="5">
        <f>IF(B87&gt;B90,B90,B87)</f>
        <v>4837.5</v>
      </c>
      <c r="D91" s="10"/>
      <c r="E91" s="10"/>
      <c r="F91" s="10"/>
      <c r="G91" s="10"/>
    </row>
    <row r="92" spans="1:7" x14ac:dyDescent="0.25">
      <c r="B92" s="5"/>
      <c r="D92" s="10"/>
      <c r="E92" s="10"/>
      <c r="F92" s="10"/>
      <c r="G92" s="10"/>
    </row>
    <row r="93" spans="1:7" x14ac:dyDescent="0.25">
      <c r="A93" s="2" t="s">
        <v>116</v>
      </c>
      <c r="B93" s="5">
        <f>B54</f>
        <v>84600</v>
      </c>
      <c r="D93" s="10"/>
      <c r="E93" s="10"/>
      <c r="F93" s="10"/>
      <c r="G93" s="10"/>
    </row>
    <row r="94" spans="1:7" x14ac:dyDescent="0.25">
      <c r="A94" s="2" t="s">
        <v>103</v>
      </c>
      <c r="B94" s="5">
        <f>B54/12</f>
        <v>7050</v>
      </c>
      <c r="D94" s="10"/>
      <c r="E94" s="10"/>
      <c r="F94" s="10"/>
      <c r="G94" s="10"/>
    </row>
    <row r="95" spans="1:7" x14ac:dyDescent="0.25">
      <c r="A95" s="2" t="s">
        <v>104</v>
      </c>
      <c r="B95" s="5">
        <f>IF(B87&gt;B94,B94,B87)</f>
        <v>5365.4</v>
      </c>
      <c r="D95" s="10"/>
      <c r="E95" s="10"/>
      <c r="F95" s="10"/>
      <c r="G95" s="10"/>
    </row>
    <row r="96" spans="1:7" x14ac:dyDescent="0.25">
      <c r="B96" s="5"/>
      <c r="D96" s="10"/>
      <c r="E96" s="10"/>
      <c r="F96" s="10"/>
      <c r="G96" s="10"/>
    </row>
    <row r="97" spans="1:7" x14ac:dyDescent="0.25">
      <c r="A97" s="1" t="s">
        <v>95</v>
      </c>
      <c r="B97" s="10"/>
      <c r="D97" s="10"/>
      <c r="E97" s="10"/>
      <c r="F97" s="10"/>
      <c r="G97" s="10"/>
    </row>
    <row r="98" spans="1:7" x14ac:dyDescent="0.25">
      <c r="A98" s="2" t="s">
        <v>78</v>
      </c>
      <c r="B98" s="6">
        <f>$B34+$B35/2</f>
        <v>7.8E-2</v>
      </c>
      <c r="D98" s="10"/>
      <c r="E98" s="14"/>
      <c r="F98" s="14"/>
      <c r="G98" s="14"/>
    </row>
    <row r="99" spans="1:7" x14ac:dyDescent="0.25">
      <c r="A99" s="2" t="s">
        <v>34</v>
      </c>
      <c r="B99" s="36">
        <f>ROUND(B$91*B98,2)</f>
        <v>377.33</v>
      </c>
      <c r="D99" s="10"/>
      <c r="E99" s="10"/>
      <c r="F99" s="10"/>
      <c r="G99" s="10"/>
    </row>
    <row r="100" spans="1:7" x14ac:dyDescent="0.25">
      <c r="A100" s="2" t="s">
        <v>90</v>
      </c>
      <c r="B100" s="6">
        <f>$B33+$B35/2</f>
        <v>7.8E-2</v>
      </c>
      <c r="D100" s="14"/>
      <c r="E100" s="14"/>
      <c r="F100" s="14"/>
      <c r="G100" s="14"/>
    </row>
    <row r="101" spans="1:7" x14ac:dyDescent="0.25">
      <c r="A101" s="2" t="s">
        <v>33</v>
      </c>
      <c r="B101" s="36">
        <f>ROUND(B$91*B100,2)</f>
        <v>377.33</v>
      </c>
      <c r="D101" s="10"/>
      <c r="E101" s="10"/>
      <c r="F101" s="10"/>
      <c r="G101" s="10"/>
    </row>
    <row r="102" spans="1:7" x14ac:dyDescent="0.25">
      <c r="A102" s="2" t="s">
        <v>18</v>
      </c>
      <c r="B102" s="5">
        <f>B101+B99</f>
        <v>754.66</v>
      </c>
      <c r="D102" s="10"/>
      <c r="E102" s="10"/>
      <c r="F102" s="10"/>
      <c r="G102" s="10"/>
    </row>
    <row r="103" spans="1:7" x14ac:dyDescent="0.25">
      <c r="B103" s="5"/>
      <c r="D103" s="10"/>
      <c r="E103" s="10"/>
      <c r="F103" s="10"/>
      <c r="G103" s="10"/>
    </row>
    <row r="104" spans="1:7" x14ac:dyDescent="0.25">
      <c r="A104" s="1" t="s">
        <v>96</v>
      </c>
      <c r="B104" s="10"/>
      <c r="D104" s="10"/>
      <c r="E104" s="10"/>
      <c r="F104" s="10"/>
      <c r="G104" s="10"/>
    </row>
    <row r="105" spans="1:7" x14ac:dyDescent="0.25">
      <c r="A105" s="2" t="s">
        <v>81</v>
      </c>
      <c r="B105" s="6">
        <f>$B38+$B39</f>
        <v>1.8749999999999999E-2</v>
      </c>
      <c r="D105" s="10"/>
      <c r="G105" s="14"/>
    </row>
    <row r="106" spans="1:7" x14ac:dyDescent="0.25">
      <c r="A106" s="2" t="s">
        <v>36</v>
      </c>
      <c r="B106" s="36">
        <f>ROUND(B$91*B105,2)</f>
        <v>90.7</v>
      </c>
      <c r="D106" s="10"/>
      <c r="G106" s="10"/>
    </row>
    <row r="107" spans="1:7" x14ac:dyDescent="0.25">
      <c r="A107" s="2" t="s">
        <v>86</v>
      </c>
      <c r="B107" s="6">
        <f>$B37</f>
        <v>1.525E-2</v>
      </c>
      <c r="D107" s="14"/>
      <c r="G107" s="14"/>
    </row>
    <row r="108" spans="1:7" x14ac:dyDescent="0.25">
      <c r="A108" s="2" t="s">
        <v>35</v>
      </c>
      <c r="B108" s="36">
        <f>ROUND(B$91*B107,2)</f>
        <v>73.77</v>
      </c>
      <c r="D108" s="10"/>
      <c r="G108" s="10"/>
    </row>
    <row r="109" spans="1:7" x14ac:dyDescent="0.25">
      <c r="A109" s="2" t="s">
        <v>19</v>
      </c>
      <c r="B109" s="5">
        <f>B108+B106</f>
        <v>164.47</v>
      </c>
      <c r="D109" s="10"/>
      <c r="E109" s="10"/>
      <c r="F109" s="10"/>
      <c r="G109" s="10"/>
    </row>
    <row r="110" spans="1:7" x14ac:dyDescent="0.25">
      <c r="B110" s="5"/>
      <c r="D110" s="10"/>
      <c r="E110" s="10"/>
      <c r="F110" s="10"/>
      <c r="G110" s="10"/>
    </row>
    <row r="111" spans="1:7" x14ac:dyDescent="0.25">
      <c r="A111" s="1" t="s">
        <v>97</v>
      </c>
      <c r="B111" s="10"/>
      <c r="D111" s="10"/>
      <c r="E111" s="10"/>
      <c r="F111" s="10"/>
      <c r="G111" s="10"/>
    </row>
    <row r="112" spans="1:7" x14ac:dyDescent="0.25">
      <c r="A112" s="2" t="s">
        <v>83</v>
      </c>
      <c r="B112" s="6">
        <f>$B42</f>
        <v>9.2999999999999999E-2</v>
      </c>
      <c r="D112" s="10"/>
      <c r="E112" s="14"/>
      <c r="F112" s="14"/>
      <c r="G112" s="14"/>
    </row>
    <row r="113" spans="1:7" x14ac:dyDescent="0.25">
      <c r="A113" s="2" t="s">
        <v>38</v>
      </c>
      <c r="B113" s="36">
        <f>ROUND(B$95*B112,2)</f>
        <v>498.98</v>
      </c>
      <c r="D113" s="10"/>
      <c r="E113" s="10"/>
      <c r="F113" s="10"/>
      <c r="G113" s="10"/>
    </row>
    <row r="114" spans="1:7" x14ac:dyDescent="0.25">
      <c r="A114" s="2" t="s">
        <v>87</v>
      </c>
      <c r="B114" s="6">
        <f>$B41</f>
        <v>9.2999999999999999E-2</v>
      </c>
      <c r="D114" s="14"/>
      <c r="E114" s="14"/>
      <c r="F114" s="14"/>
      <c r="G114" s="14"/>
    </row>
    <row r="115" spans="1:7" x14ac:dyDescent="0.25">
      <c r="A115" s="2" t="s">
        <v>37</v>
      </c>
      <c r="B115" s="36">
        <f>ROUND(B$95*B114,2)</f>
        <v>498.98</v>
      </c>
      <c r="D115" s="10"/>
      <c r="E115" s="10"/>
      <c r="F115" s="10"/>
      <c r="G115" s="10"/>
    </row>
    <row r="116" spans="1:7" x14ac:dyDescent="0.25">
      <c r="A116" s="2" t="s">
        <v>20</v>
      </c>
      <c r="B116" s="5">
        <f>B115+B113</f>
        <v>997.96</v>
      </c>
      <c r="D116" s="10"/>
      <c r="E116" s="10"/>
      <c r="F116" s="10"/>
      <c r="G116" s="10"/>
    </row>
    <row r="117" spans="1:7" x14ac:dyDescent="0.25">
      <c r="B117" s="5"/>
      <c r="D117" s="10"/>
      <c r="E117" s="10"/>
      <c r="F117" s="10"/>
      <c r="G117" s="10"/>
    </row>
    <row r="118" spans="1:7" x14ac:dyDescent="0.25">
      <c r="A118" s="1" t="s">
        <v>98</v>
      </c>
      <c r="B118" s="10"/>
      <c r="D118" s="10"/>
      <c r="E118" s="10"/>
      <c r="F118" s="10"/>
      <c r="G118" s="10"/>
    </row>
    <row r="119" spans="1:7" x14ac:dyDescent="0.25">
      <c r="A119" s="2" t="s">
        <v>84</v>
      </c>
      <c r="B119" s="6">
        <f>$B45</f>
        <v>1.2E-2</v>
      </c>
      <c r="D119" s="10"/>
      <c r="E119" s="14"/>
      <c r="F119" s="14"/>
      <c r="G119" s="14"/>
    </row>
    <row r="120" spans="1:7" x14ac:dyDescent="0.25">
      <c r="A120" s="2" t="s">
        <v>91</v>
      </c>
      <c r="B120" s="36">
        <f>ROUND(B$95*B119,2)</f>
        <v>64.38</v>
      </c>
      <c r="D120" s="10"/>
      <c r="E120" s="10"/>
      <c r="F120" s="10"/>
      <c r="G120" s="10"/>
    </row>
    <row r="121" spans="1:7" x14ac:dyDescent="0.25">
      <c r="A121" s="2" t="s">
        <v>88</v>
      </c>
      <c r="B121" s="6">
        <f>$B44</f>
        <v>1.2E-2</v>
      </c>
      <c r="D121" s="14"/>
      <c r="E121" s="14"/>
      <c r="F121" s="14"/>
      <c r="G121" s="14"/>
    </row>
    <row r="122" spans="1:7" x14ac:dyDescent="0.25">
      <c r="A122" s="2" t="s">
        <v>92</v>
      </c>
      <c r="B122" s="36">
        <f>ROUND(B$95*B121,2)</f>
        <v>64.38</v>
      </c>
      <c r="D122" s="10"/>
      <c r="E122" s="10"/>
      <c r="F122" s="10"/>
      <c r="G122" s="10"/>
    </row>
    <row r="123" spans="1:7" x14ac:dyDescent="0.25">
      <c r="A123" s="2" t="s">
        <v>21</v>
      </c>
      <c r="B123" s="5">
        <f>B122+B120</f>
        <v>128.76</v>
      </c>
      <c r="D123" s="10"/>
      <c r="E123" s="10"/>
      <c r="F123" s="10"/>
      <c r="G123" s="10"/>
    </row>
    <row r="124" spans="1:7" x14ac:dyDescent="0.25">
      <c r="B124" s="10"/>
      <c r="D124" s="10"/>
      <c r="E124" s="10"/>
      <c r="F124" s="10"/>
      <c r="G124" s="10"/>
    </row>
    <row r="125" spans="1:7" x14ac:dyDescent="0.25">
      <c r="A125" s="1" t="s">
        <v>40</v>
      </c>
      <c r="B125" s="36">
        <f>B99+B106+B113+B120</f>
        <v>1031.3899999999999</v>
      </c>
      <c r="D125" s="11"/>
      <c r="E125" s="11"/>
      <c r="F125" s="11"/>
      <c r="G125" s="11"/>
    </row>
    <row r="126" spans="1:7" x14ac:dyDescent="0.25">
      <c r="A126" s="1" t="s">
        <v>39</v>
      </c>
      <c r="B126" s="36">
        <f>B101+B108+B115+B122</f>
        <v>1014.4599999999999</v>
      </c>
      <c r="D126" s="11"/>
      <c r="E126" s="11"/>
      <c r="F126" s="11"/>
      <c r="G126" s="11"/>
    </row>
    <row r="127" spans="1:7" x14ac:dyDescent="0.25">
      <c r="A127" s="1" t="s">
        <v>41</v>
      </c>
      <c r="B127" s="3">
        <f>B126+B125</f>
        <v>2045.85</v>
      </c>
      <c r="D127" s="11"/>
      <c r="E127" s="11"/>
      <c r="F127" s="11"/>
      <c r="G127" s="11"/>
    </row>
    <row r="128" spans="1:7" x14ac:dyDescent="0.25">
      <c r="A128" s="1"/>
      <c r="B128" s="5"/>
      <c r="D128" s="11"/>
      <c r="E128" s="11"/>
      <c r="F128" s="11"/>
      <c r="G128" s="11"/>
    </row>
    <row r="129" spans="1:7" x14ac:dyDescent="0.25">
      <c r="A129" s="2" t="s">
        <v>42</v>
      </c>
      <c r="B129" s="5">
        <f>B126+B125</f>
        <v>2045.85</v>
      </c>
      <c r="D129" s="10"/>
      <c r="E129" s="10"/>
      <c r="F129" s="10"/>
      <c r="G129" s="10"/>
    </row>
    <row r="130" spans="1:7" ht="12.6" thickBot="1" x14ac:dyDescent="0.3">
      <c r="B130" s="5"/>
      <c r="E130" s="10"/>
      <c r="F130" s="10"/>
      <c r="G130" s="10"/>
    </row>
    <row r="131" spans="1:7" x14ac:dyDescent="0.25">
      <c r="A131" s="15"/>
      <c r="B131" s="13"/>
      <c r="E131" s="10"/>
      <c r="F131" s="10"/>
      <c r="G131" s="10"/>
    </row>
    <row r="132" spans="1:7" x14ac:dyDescent="0.25">
      <c r="A132" s="2" t="s">
        <v>4</v>
      </c>
      <c r="B132" s="6">
        <f>$B47</f>
        <v>3.6999999999999998E-2</v>
      </c>
      <c r="D132" s="14"/>
      <c r="E132" s="14"/>
      <c r="F132" s="14"/>
      <c r="G132" s="14"/>
    </row>
    <row r="133" spans="1:7" x14ac:dyDescent="0.25">
      <c r="A133" s="2" t="s">
        <v>5</v>
      </c>
      <c r="B133" s="5">
        <f>ROUND(B$95*B132,2)</f>
        <v>198.52</v>
      </c>
      <c r="D133" s="10"/>
      <c r="E133" s="10"/>
      <c r="F133" s="10"/>
      <c r="G133" s="10"/>
    </row>
    <row r="134" spans="1:7" x14ac:dyDescent="0.25">
      <c r="B134" s="10"/>
      <c r="D134" s="10"/>
      <c r="E134" s="10"/>
      <c r="F134" s="10"/>
      <c r="G134" s="10"/>
    </row>
    <row r="135" spans="1:7" x14ac:dyDescent="0.25">
      <c r="A135" s="2" t="s">
        <v>6</v>
      </c>
      <c r="B135" s="6">
        <f>$B48</f>
        <v>3.0000000000000001E-3</v>
      </c>
      <c r="D135" s="14"/>
      <c r="E135" s="14"/>
      <c r="F135" s="14"/>
      <c r="G135" s="14"/>
    </row>
    <row r="136" spans="1:7" x14ac:dyDescent="0.25">
      <c r="A136" s="2" t="s">
        <v>7</v>
      </c>
      <c r="B136" s="5">
        <f>ROUND(B$95*B135,2)</f>
        <v>16.100000000000001</v>
      </c>
      <c r="D136" s="10"/>
      <c r="E136" s="10"/>
      <c r="F136" s="10"/>
      <c r="G136" s="10"/>
    </row>
    <row r="137" spans="1:7" x14ac:dyDescent="0.25">
      <c r="B137" s="10"/>
      <c r="D137" s="10"/>
      <c r="E137" s="10"/>
      <c r="F137" s="10"/>
      <c r="G137" s="10"/>
    </row>
    <row r="138" spans="1:7" x14ac:dyDescent="0.25">
      <c r="A138" s="2" t="s">
        <v>51</v>
      </c>
      <c r="B138" s="6">
        <f>$B49</f>
        <v>8.9999999999999998E-4</v>
      </c>
      <c r="D138" s="14"/>
      <c r="E138" s="14"/>
      <c r="F138" s="14"/>
      <c r="G138" s="14"/>
    </row>
    <row r="139" spans="1:7" x14ac:dyDescent="0.25">
      <c r="A139" s="2" t="s">
        <v>52</v>
      </c>
      <c r="B139" s="5">
        <f>ROUND(B$95*B138,2)</f>
        <v>4.83</v>
      </c>
      <c r="D139" s="10"/>
      <c r="E139" s="10"/>
      <c r="F139" s="10"/>
      <c r="G139" s="10"/>
    </row>
    <row r="140" spans="1:7" x14ac:dyDescent="0.25">
      <c r="B140" s="5"/>
      <c r="D140" s="10"/>
      <c r="E140" s="10"/>
      <c r="F140" s="10"/>
      <c r="G140" s="10"/>
    </row>
    <row r="141" spans="1:7" x14ac:dyDescent="0.25">
      <c r="A141" s="1" t="s">
        <v>100</v>
      </c>
      <c r="B141" s="3">
        <f>B133+B136+B139</f>
        <v>219.45000000000002</v>
      </c>
      <c r="D141" s="10"/>
      <c r="E141" s="10"/>
      <c r="F141" s="10"/>
      <c r="G141" s="10"/>
    </row>
    <row r="142" spans="1:7" ht="12.6" thickBot="1" x14ac:dyDescent="0.3">
      <c r="B142" s="10"/>
      <c r="D142" s="10"/>
      <c r="E142" s="10"/>
      <c r="F142" s="10"/>
      <c r="G142" s="10"/>
    </row>
    <row r="143" spans="1:7" x14ac:dyDescent="0.25">
      <c r="A143" s="17"/>
      <c r="B143" s="18"/>
      <c r="E143" s="10"/>
      <c r="F143" s="10"/>
      <c r="G143" s="10"/>
    </row>
    <row r="144" spans="1:7" x14ac:dyDescent="0.25">
      <c r="A144" s="2" t="s">
        <v>23</v>
      </c>
      <c r="B144" s="5">
        <f>B63-B80-B125</f>
        <v>3171.93</v>
      </c>
      <c r="C144" s="28"/>
      <c r="E144" s="10"/>
      <c r="F144" s="10"/>
      <c r="G144" s="10"/>
    </row>
    <row r="145" spans="1:7" x14ac:dyDescent="0.25">
      <c r="A145" s="2" t="s">
        <v>43</v>
      </c>
      <c r="B145" s="5">
        <f>B12</f>
        <v>40</v>
      </c>
      <c r="D145" s="10"/>
      <c r="E145" s="10"/>
      <c r="F145" s="10"/>
    </row>
    <row r="146" spans="1:7" x14ac:dyDescent="0.25">
      <c r="A146" s="2" t="s">
        <v>44</v>
      </c>
      <c r="B146" s="5">
        <f>B62</f>
        <v>539.4</v>
      </c>
      <c r="C146" s="28"/>
      <c r="D146" s="10"/>
      <c r="E146" s="10"/>
      <c r="F146" s="10"/>
    </row>
    <row r="147" spans="1:7" x14ac:dyDescent="0.25">
      <c r="A147" s="1" t="s">
        <v>8</v>
      </c>
      <c r="B147" s="3">
        <f>B144-B145-B146</f>
        <v>2592.5299999999997</v>
      </c>
      <c r="D147" s="10"/>
      <c r="E147" s="10"/>
      <c r="F147" s="10"/>
      <c r="G147" s="10"/>
    </row>
    <row r="148" spans="1:7" x14ac:dyDescent="0.25">
      <c r="A148" s="2" t="s">
        <v>113</v>
      </c>
      <c r="B148" s="37">
        <f>B147/B60</f>
        <v>0.54011041666666659</v>
      </c>
      <c r="D148" s="10"/>
      <c r="E148" s="10"/>
      <c r="F148" s="10"/>
      <c r="G148" s="10"/>
    </row>
    <row r="149" spans="1:7" x14ac:dyDescent="0.25">
      <c r="A149" s="1" t="s">
        <v>99</v>
      </c>
      <c r="B149" s="3">
        <f>B63+B126+B141</f>
        <v>6599.3099999999995</v>
      </c>
      <c r="C149" s="28"/>
      <c r="D149" s="10"/>
      <c r="E149" s="10"/>
      <c r="F149" s="10"/>
      <c r="G149" s="10"/>
    </row>
    <row r="150" spans="1:7" x14ac:dyDescent="0.25">
      <c r="A150" s="2" t="s">
        <v>114</v>
      </c>
      <c r="B150" s="37">
        <f>B149/B147</f>
        <v>2.5455095987317407</v>
      </c>
      <c r="C150" s="28"/>
      <c r="D150" s="10"/>
      <c r="E150" s="10"/>
      <c r="F150" s="10"/>
      <c r="G150" s="10"/>
    </row>
    <row r="151" spans="1:7" x14ac:dyDescent="0.25">
      <c r="B151" s="5"/>
      <c r="D151" s="10"/>
      <c r="E151" s="10"/>
      <c r="F151" s="10"/>
      <c r="G151" s="10"/>
    </row>
    <row r="152" spans="1:7" x14ac:dyDescent="0.25">
      <c r="D152" s="10"/>
      <c r="E152" s="10"/>
      <c r="F152" s="10"/>
      <c r="G152" s="10"/>
    </row>
    <row r="153" spans="1:7" x14ac:dyDescent="0.25">
      <c r="A153" s="26" t="s">
        <v>58</v>
      </c>
      <c r="B153" s="5"/>
      <c r="D153" s="10"/>
      <c r="E153" s="10"/>
      <c r="F153" s="10"/>
      <c r="G153" s="10"/>
    </row>
    <row r="154" spans="1:7" x14ac:dyDescent="0.25">
      <c r="B154" s="5"/>
    </row>
    <row r="155" spans="1:7" x14ac:dyDescent="0.25">
      <c r="A155" s="1" t="s">
        <v>93</v>
      </c>
      <c r="B155" s="8"/>
    </row>
    <row r="156" spans="1:7" x14ac:dyDescent="0.25">
      <c r="A156" s="2" t="s">
        <v>24</v>
      </c>
      <c r="B156" s="5">
        <f>B147+B146+B145-B61+B80+B125</f>
        <v>5339.4</v>
      </c>
      <c r="C156" s="19"/>
    </row>
    <row r="157" spans="1:7" x14ac:dyDescent="0.25">
      <c r="A157" s="2" t="s">
        <v>65</v>
      </c>
      <c r="B157" s="5">
        <f>B61</f>
        <v>26</v>
      </c>
      <c r="C157" s="19"/>
    </row>
    <row r="158" spans="1:7" x14ac:dyDescent="0.25">
      <c r="A158" s="2" t="s">
        <v>59</v>
      </c>
      <c r="B158" s="21">
        <f>B126</f>
        <v>1014.4599999999999</v>
      </c>
      <c r="C158" s="19"/>
    </row>
    <row r="159" spans="1:7" x14ac:dyDescent="0.25">
      <c r="B159" s="19">
        <f>SUM(B156:B158)</f>
        <v>6379.86</v>
      </c>
      <c r="C159" s="20"/>
    </row>
    <row r="160" spans="1:7" x14ac:dyDescent="0.25">
      <c r="A160" s="2" t="s">
        <v>50</v>
      </c>
    </row>
    <row r="162" spans="1:3" x14ac:dyDescent="0.25">
      <c r="A162" s="2" t="s">
        <v>60</v>
      </c>
      <c r="B162" s="5">
        <f>B147</f>
        <v>2592.5299999999997</v>
      </c>
      <c r="C162" s="19"/>
    </row>
    <row r="163" spans="1:3" x14ac:dyDescent="0.25">
      <c r="A163" s="2" t="s">
        <v>61</v>
      </c>
      <c r="B163" s="5">
        <f>B145</f>
        <v>40</v>
      </c>
      <c r="C163" s="19"/>
    </row>
    <row r="164" spans="1:3" x14ac:dyDescent="0.25">
      <c r="A164" s="2" t="s">
        <v>106</v>
      </c>
      <c r="B164" s="21">
        <f>ROUND(B18/1.19,2)</f>
        <v>453.28</v>
      </c>
      <c r="C164" s="19"/>
    </row>
    <row r="165" spans="1:3" x14ac:dyDescent="0.25">
      <c r="A165" s="2" t="s">
        <v>62</v>
      </c>
      <c r="B165" s="21">
        <f>B18-B164</f>
        <v>86.12</v>
      </c>
      <c r="C165" s="19"/>
    </row>
    <row r="166" spans="1:3" x14ac:dyDescent="0.25">
      <c r="A166" s="2" t="s">
        <v>63</v>
      </c>
      <c r="B166" s="5">
        <f>B80</f>
        <v>1162.08</v>
      </c>
      <c r="C166" s="19"/>
    </row>
    <row r="167" spans="1:3" x14ac:dyDescent="0.25">
      <c r="A167" s="2" t="s">
        <v>64</v>
      </c>
      <c r="B167" s="21">
        <f>B129</f>
        <v>2045.85</v>
      </c>
      <c r="C167" s="19"/>
    </row>
    <row r="168" spans="1:3" x14ac:dyDescent="0.25">
      <c r="B168" s="19">
        <f>SUM(B162:B167)</f>
        <v>6379.8599999999988</v>
      </c>
      <c r="C168" s="20"/>
    </row>
    <row r="170" spans="1:3" x14ac:dyDescent="0.25">
      <c r="A170" s="1" t="s">
        <v>94</v>
      </c>
    </row>
    <row r="171" spans="1:3" x14ac:dyDescent="0.25">
      <c r="A171" s="2" t="s">
        <v>59</v>
      </c>
      <c r="B171" s="5">
        <f>B141</f>
        <v>219.45000000000002</v>
      </c>
    </row>
    <row r="173" spans="1:3" x14ac:dyDescent="0.25">
      <c r="A173" s="2" t="s">
        <v>50</v>
      </c>
    </row>
    <row r="175" spans="1:3" x14ac:dyDescent="0.25">
      <c r="A175" s="2" t="s">
        <v>64</v>
      </c>
      <c r="B175" s="5">
        <f>B141</f>
        <v>219.45000000000002</v>
      </c>
    </row>
  </sheetData>
  <dataValidations count="1">
    <dataValidation type="list" allowBlank="1" showInputMessage="1" showErrorMessage="1" sqref="B3" xr:uid="{00000000-0002-0000-0000-000000000000}">
      <formula1>"1,2,3,4,5,6,7,8"</formula1>
    </dataValidation>
  </dataValidations>
  <pageMargins left="0.47244094488188981" right="0.47244094488188981" top="1.1811023622047245" bottom="0.78740157480314965" header="0.31496062992125984" footer="0.31496062992125984"/>
  <pageSetup paperSize="9" scale="79" fitToHeight="2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Beispiel 11-6 ff.</vt:lpstr>
      <vt:lpstr>'Beispiel 11-6 ff.'!Druckbereich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Schäfer-Kunz ǀ Buchführung und Jahresabschluss</dc:title>
  <dc:subject>Lohn- und Gehaltsabrechnung</dc:subject>
  <dc:creator>Prof. Dr. Jan Schäfer-Kunz</dc:creator>
  <cp:keywords>Copyright © Schäffer-Poeschel Verlag für Wirtschaft · Steuern · Recht GmbH</cp:keywords>
  <cp:lastModifiedBy>Prof. Dr. Jan Schäfer-Kunz</cp:lastModifiedBy>
  <cp:lastPrinted>2011-09-02T17:52:26Z</cp:lastPrinted>
  <dcterms:created xsi:type="dcterms:W3CDTF">2010-06-17T22:34:22Z</dcterms:created>
  <dcterms:modified xsi:type="dcterms:W3CDTF">2022-08-30T17:13:29Z</dcterms:modified>
</cp:coreProperties>
</file>